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qoa-fs\data\Users$\1st grade\Desktop\"/>
    </mc:Choice>
  </mc:AlternateContent>
  <bookViews>
    <workbookView xWindow="0" yWindow="0" windowWidth="21600" windowHeight="9735" firstSheet="1" activeTab="1"/>
  </bookViews>
  <sheets>
    <sheet name="Sheet1 (2)" sheetId="3" state="hidden" r:id="rId1"/>
    <sheet name="Actual to Budget" sheetId="4" r:id="rId2"/>
  </sheets>
  <definedNames>
    <definedName name="_xlnm.Print_Area" localSheetId="1">'Actual to Budget'!$A$1:$J$79</definedName>
    <definedName name="_xlnm.Print_Area" localSheetId="0">'Sheet1 (2)'!$A$1:$M$37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4" l="1"/>
  <c r="F76" i="4"/>
  <c r="F75" i="4"/>
  <c r="F74" i="4"/>
  <c r="F73" i="4"/>
  <c r="F72" i="4"/>
  <c r="F70" i="4"/>
  <c r="F67" i="4"/>
  <c r="F79" i="4" s="1"/>
  <c r="E61" i="4"/>
  <c r="E60" i="4"/>
  <c r="C59" i="4"/>
  <c r="E59" i="4" s="1"/>
  <c r="E58" i="4"/>
  <c r="E57" i="4"/>
  <c r="E56" i="4"/>
  <c r="E55" i="4"/>
  <c r="E54" i="4"/>
  <c r="E53" i="4"/>
  <c r="E52" i="4"/>
  <c r="E51" i="4"/>
  <c r="E50" i="4"/>
  <c r="E49" i="4"/>
  <c r="E48" i="4"/>
  <c r="D46" i="4"/>
  <c r="E46" i="4" s="1"/>
  <c r="D45" i="4"/>
  <c r="E45" i="4" s="1"/>
  <c r="E44" i="4"/>
  <c r="E43" i="4"/>
  <c r="C42" i="4"/>
  <c r="E42" i="4" s="1"/>
  <c r="E41" i="4"/>
  <c r="D40" i="4"/>
  <c r="C40" i="4"/>
  <c r="E40" i="4" s="1"/>
  <c r="E38" i="4"/>
  <c r="D37" i="4"/>
  <c r="E37" i="4" s="1"/>
  <c r="C36" i="4"/>
  <c r="E36" i="4" s="1"/>
  <c r="D35" i="4"/>
  <c r="D63" i="4" s="1"/>
  <c r="C35" i="4"/>
  <c r="E35" i="4" s="1"/>
  <c r="E34" i="4"/>
  <c r="E33" i="4"/>
  <c r="E32" i="4"/>
  <c r="D28" i="4"/>
  <c r="E28" i="4" s="1"/>
  <c r="D27" i="4"/>
  <c r="C27" i="4"/>
  <c r="E27" i="4" s="1"/>
  <c r="E26" i="4"/>
  <c r="E25" i="4"/>
  <c r="E24" i="4"/>
  <c r="D23" i="4"/>
  <c r="E23" i="4" s="1"/>
  <c r="C22" i="4"/>
  <c r="E22" i="4" s="1"/>
  <c r="D21" i="4"/>
  <c r="E21" i="4" s="1"/>
  <c r="C21" i="4"/>
  <c r="E19" i="4"/>
  <c r="E17" i="4"/>
  <c r="E16" i="4"/>
  <c r="D15" i="4"/>
  <c r="C15" i="4"/>
  <c r="E15" i="4" s="1"/>
  <c r="D14" i="4"/>
  <c r="E14" i="4" s="1"/>
  <c r="E13" i="4"/>
  <c r="E12" i="4"/>
  <c r="C11" i="4"/>
  <c r="E11" i="4" s="1"/>
  <c r="D10" i="4"/>
  <c r="E10" i="4" s="1"/>
  <c r="C10" i="4"/>
  <c r="D9" i="4"/>
  <c r="D30" i="4" s="1"/>
  <c r="D64" i="4" s="1"/>
  <c r="A9" i="4"/>
  <c r="A10" i="4" s="1"/>
  <c r="A11" i="4" s="1"/>
  <c r="A12" i="4" s="1"/>
  <c r="A13" i="4" s="1"/>
  <c r="A14" i="4" s="1"/>
  <c r="A15" i="4" s="1"/>
  <c r="A16" i="4" s="1"/>
  <c r="A17" i="4" s="1"/>
  <c r="C8" i="4"/>
  <c r="C30" i="4" s="1"/>
  <c r="E30" i="4" l="1"/>
  <c r="E63" i="4"/>
  <c r="A21" i="4"/>
  <c r="A22" i="4" s="1"/>
  <c r="A23" i="4" s="1"/>
  <c r="A24" i="4" s="1"/>
  <c r="A25" i="4" s="1"/>
  <c r="A26" i="4" s="1"/>
  <c r="A27" i="4" s="1"/>
  <c r="A28" i="4" s="1"/>
  <c r="A30" i="4" s="1"/>
  <c r="A32" i="4" s="1"/>
  <c r="A33" i="4" s="1"/>
  <c r="A34" i="4" s="1"/>
  <c r="A35" i="4" s="1"/>
  <c r="A36" i="4" s="1"/>
  <c r="A37" i="4" s="1"/>
  <c r="A38" i="4" s="1"/>
  <c r="A40" i="4" s="1"/>
  <c r="A19" i="4"/>
  <c r="E8" i="4"/>
  <c r="C63" i="4"/>
  <c r="C64" i="4" s="1"/>
  <c r="E9" i="4"/>
  <c r="C52" i="3"/>
  <c r="E52" i="3" s="1"/>
  <c r="D54" i="3"/>
  <c r="C53" i="3"/>
  <c r="E53" i="3" s="1"/>
  <c r="F46" i="3"/>
  <c r="D45" i="3"/>
  <c r="C45" i="3"/>
  <c r="F45" i="3"/>
  <c r="F43" i="3"/>
  <c r="E43" i="3"/>
  <c r="F42" i="3"/>
  <c r="E46" i="3"/>
  <c r="F44" i="3"/>
  <c r="F41" i="3"/>
  <c r="C42" i="3"/>
  <c r="E42" i="3" s="1"/>
  <c r="E27" i="3"/>
  <c r="E36" i="3" s="1"/>
  <c r="D44" i="3"/>
  <c r="D47" i="3" s="1"/>
  <c r="C44" i="3"/>
  <c r="E44" i="3" s="1"/>
  <c r="D41" i="3"/>
  <c r="C41" i="3"/>
  <c r="E41" i="3" s="1"/>
  <c r="E12" i="3"/>
  <c r="E20" i="3" s="1"/>
  <c r="D27" i="3"/>
  <c r="D36" i="3" s="1"/>
  <c r="F35" i="3"/>
  <c r="D20" i="3"/>
  <c r="F19" i="3"/>
  <c r="A41" i="4" l="1"/>
  <c r="A42" i="4"/>
  <c r="A43" i="4" s="1"/>
  <c r="A44" i="4" s="1"/>
  <c r="A45" i="4" s="1"/>
  <c r="A46" i="4" s="1"/>
  <c r="E64" i="4"/>
  <c r="F47" i="3"/>
  <c r="C47" i="3"/>
  <c r="G43" i="3"/>
  <c r="E54" i="3"/>
  <c r="C54" i="3"/>
  <c r="E45" i="3"/>
  <c r="G45" i="3" s="1"/>
  <c r="G44" i="3"/>
  <c r="G41" i="3"/>
  <c r="G42" i="3"/>
  <c r="G46" i="3"/>
  <c r="A55" i="4" l="1"/>
  <c r="A48" i="4"/>
  <c r="A49" i="4" s="1"/>
  <c r="A50" i="4" s="1"/>
  <c r="A51" i="4" s="1"/>
  <c r="A52" i="4" s="1"/>
  <c r="A53" i="4" s="1"/>
  <c r="A54" i="4" s="1"/>
  <c r="E47" i="3"/>
  <c r="G47" i="3"/>
  <c r="H47" i="3" s="1"/>
  <c r="F32" i="3"/>
  <c r="F31" i="3"/>
  <c r="F30" i="3"/>
  <c r="F29" i="3"/>
  <c r="F28" i="3"/>
  <c r="F27" i="3"/>
  <c r="F26" i="3"/>
  <c r="F25" i="3"/>
  <c r="F24" i="3"/>
  <c r="F23" i="3"/>
  <c r="F22" i="3"/>
  <c r="F34" i="3"/>
  <c r="F18" i="3"/>
  <c r="F17" i="3"/>
  <c r="F14" i="3"/>
  <c r="F16" i="3"/>
  <c r="F15" i="3"/>
  <c r="F13" i="3"/>
  <c r="F12" i="3"/>
  <c r="F11" i="3"/>
  <c r="F10" i="3"/>
  <c r="F8" i="3"/>
  <c r="C33" i="3"/>
  <c r="C9" i="3"/>
  <c r="C20" i="3" s="1"/>
  <c r="A56" i="4" l="1"/>
  <c r="A57" i="4" s="1"/>
  <c r="A58" i="4" s="1"/>
  <c r="A59" i="4"/>
  <c r="A60" i="4" s="1"/>
  <c r="A61" i="4" s="1"/>
  <c r="A63" i="4" s="1"/>
  <c r="A64" i="4" s="1"/>
  <c r="C36" i="3"/>
  <c r="D37" i="3"/>
  <c r="E37" i="3"/>
  <c r="F9" i="3"/>
  <c r="F20" i="3" s="1"/>
  <c r="F33" i="3"/>
  <c r="F36" i="3" s="1"/>
  <c r="C37" i="3"/>
  <c r="F37" i="3" l="1"/>
  <c r="G37" i="3" s="1"/>
</calcChain>
</file>

<file path=xl/sharedStrings.xml><?xml version="1.0" encoding="utf-8"?>
<sst xmlns="http://schemas.openxmlformats.org/spreadsheetml/2006/main" count="200" uniqueCount="157">
  <si>
    <t>Interest Income (DIAL)</t>
  </si>
  <si>
    <t>FY22</t>
  </si>
  <si>
    <t>PTO Dues</t>
  </si>
  <si>
    <t>Notes/Comments</t>
  </si>
  <si>
    <t>Amazon Prime Registration</t>
  </si>
  <si>
    <t>17 teachers @ $250 per teacher</t>
  </si>
  <si>
    <t>Amazon Smile Program</t>
  </si>
  <si>
    <t>Uniform Sale/Swap</t>
  </si>
  <si>
    <t>Charleston Wrap</t>
  </si>
  <si>
    <t>Gifts &amp; Things</t>
  </si>
  <si>
    <t>Harris Teeter</t>
  </si>
  <si>
    <t>Auction Income</t>
  </si>
  <si>
    <t>Total Income</t>
  </si>
  <si>
    <t>Ice cream</t>
  </si>
  <si>
    <t>Wreath Sale</t>
  </si>
  <si>
    <t>Spaghetti Dinner</t>
  </si>
  <si>
    <t>Fall Festival</t>
  </si>
  <si>
    <t>Bench Project</t>
  </si>
  <si>
    <t>Technology Support</t>
  </si>
  <si>
    <t>Classroom Materials</t>
  </si>
  <si>
    <t>Total Expense</t>
  </si>
  <si>
    <t>Net Income / (Loss)</t>
  </si>
  <si>
    <t>Christmas Concert</t>
  </si>
  <si>
    <t>Ice Cream</t>
  </si>
  <si>
    <t>Water Station</t>
  </si>
  <si>
    <t>CYO</t>
  </si>
  <si>
    <t>Auction Expense</t>
  </si>
  <si>
    <t>Giant</t>
  </si>
  <si>
    <t>International Festival</t>
  </si>
  <si>
    <t>Car Raffle</t>
  </si>
  <si>
    <t>Others (Box tops, Gift a book, etc)</t>
  </si>
  <si>
    <t>Die Cut Machine</t>
  </si>
  <si>
    <t>BBQ</t>
  </si>
  <si>
    <t>Misc (yard signs, Gift a book, etc)</t>
  </si>
  <si>
    <t>Popcorn Machine</t>
  </si>
  <si>
    <t>All Saints Day</t>
  </si>
  <si>
    <t>Uniform</t>
  </si>
  <si>
    <t>A</t>
  </si>
  <si>
    <t>B</t>
  </si>
  <si>
    <t>C</t>
  </si>
  <si>
    <t>Giant no longer doing this</t>
  </si>
  <si>
    <t>Faculty appreciation</t>
  </si>
  <si>
    <t>Assume no box tops</t>
  </si>
  <si>
    <t>Item</t>
  </si>
  <si>
    <t>Gift cards in past - cant continue to do this; will work w Principal on ideas to support faculty</t>
  </si>
  <si>
    <t>Volleyball set</t>
  </si>
  <si>
    <t>Oct</t>
  </si>
  <si>
    <t>Dec</t>
  </si>
  <si>
    <t>Breakfast w Santa</t>
  </si>
  <si>
    <t>Feb</t>
  </si>
  <si>
    <t>Spaghetti Dinner/Bingo</t>
  </si>
  <si>
    <t>Auction</t>
  </si>
  <si>
    <t>May</t>
  </si>
  <si>
    <t>Fall Festival/Trunk or Treat</t>
  </si>
  <si>
    <t>Christmas Concert/Breakfast w Santa</t>
  </si>
  <si>
    <t>End of May</t>
  </si>
  <si>
    <t>Queen of Apostles</t>
  </si>
  <si>
    <t>Budget</t>
  </si>
  <si>
    <t>Actual</t>
  </si>
  <si>
    <t>YTD</t>
  </si>
  <si>
    <t>Projection</t>
  </si>
  <si>
    <t>Actual; FY22 has 108 families @ $60 per family</t>
  </si>
  <si>
    <t>Canceled</t>
  </si>
  <si>
    <t>Volleyball Set</t>
  </si>
  <si>
    <t>Meet &amp; Greet Ice Cream</t>
  </si>
  <si>
    <t>DFE Breakfast</t>
  </si>
  <si>
    <t>Thanksgiving Decorations</t>
  </si>
  <si>
    <t>Back to school luncheon</t>
  </si>
  <si>
    <t>Better / (Worse)</t>
  </si>
  <si>
    <t>Than Budget</t>
  </si>
  <si>
    <t>PTO Budget - FY22 &amp; Projection</t>
  </si>
  <si>
    <t>Actual - April 30th</t>
  </si>
  <si>
    <t>Actual - October</t>
  </si>
  <si>
    <t>Actual - November</t>
  </si>
  <si>
    <t>Actual - Fall and Winter</t>
  </si>
  <si>
    <t>Actual - 4 distros</t>
  </si>
  <si>
    <t>Actual - February; also included Bingo revenue</t>
  </si>
  <si>
    <t>Other</t>
  </si>
  <si>
    <t>Actual - box tops</t>
  </si>
  <si>
    <t>Field Trip Support</t>
  </si>
  <si>
    <t>Projection - we did pay fee to registger QofA school account</t>
  </si>
  <si>
    <t>Note there was no cost/expense</t>
  </si>
  <si>
    <t>Projection inlcudes 4/30 costs and teacher reimbursement for auction experiences</t>
  </si>
  <si>
    <t>Projection includes actual and amont to be xfered by Parish to School; note budget = 17 teachers @ $250 per teacher</t>
  </si>
  <si>
    <t>Actual thru May, June projected</t>
  </si>
  <si>
    <t>Actual - 2 distros, one more may occur</t>
  </si>
  <si>
    <t>Actual - Xmas bonus</t>
  </si>
  <si>
    <t>PTO agreed to pay for field trips for all grades except 6th and 8th.  The 8th grade fundraised and covered all their costs, no field trip for 6th grade.</t>
  </si>
  <si>
    <t>Events</t>
  </si>
  <si>
    <t>Fall Festival/Trunk Treat</t>
  </si>
  <si>
    <t>Income</t>
  </si>
  <si>
    <t>Expense</t>
  </si>
  <si>
    <t>Net</t>
  </si>
  <si>
    <t>Chesterton Wrap</t>
  </si>
  <si>
    <t>Nov</t>
  </si>
  <si>
    <t>Budget Net</t>
  </si>
  <si>
    <t>B /(W) Budget</t>
  </si>
  <si>
    <t>April</t>
  </si>
  <si>
    <t>Total Events</t>
  </si>
  <si>
    <t>Actual - includes bingo expense as well</t>
  </si>
  <si>
    <t>Asset Summary</t>
  </si>
  <si>
    <t>Incr / (Decr)</t>
  </si>
  <si>
    <t>Truist* (PTO Checking)</t>
  </si>
  <si>
    <t>DIAL** (PTO Savings)</t>
  </si>
  <si>
    <t>Total Assets</t>
  </si>
  <si>
    <t>*BB&amp;T merged with SunTrust Bank and new bank name is Truist</t>
  </si>
  <si>
    <t xml:space="preserve">** DIAL = Diocesan Investment and Loan account </t>
  </si>
  <si>
    <t>6/30/2022 Projected</t>
  </si>
  <si>
    <t>6/30/2021 Actual</t>
  </si>
  <si>
    <t>FY23</t>
  </si>
  <si>
    <t>Soccer Goals</t>
  </si>
  <si>
    <t>Mulch</t>
  </si>
  <si>
    <t>Field Trips</t>
  </si>
  <si>
    <t>FY23: 166 Students; 110 families</t>
  </si>
  <si>
    <t>FY23 has 110 families @ $60 per family</t>
  </si>
  <si>
    <t>Father decided not to participate</t>
  </si>
  <si>
    <t>October</t>
  </si>
  <si>
    <t>Golf Tournament/ Fun Run</t>
  </si>
  <si>
    <t>Golf Tournament/ Fun Run Expense</t>
  </si>
  <si>
    <t>November - 100 families * $8 per item</t>
  </si>
  <si>
    <t>Auction Income/ Christmas Cocktails</t>
  </si>
  <si>
    <t>Auction Expense/ Christmas Cocktails</t>
  </si>
  <si>
    <t>September - 70 families * $35 per family</t>
  </si>
  <si>
    <t>3 sales</t>
  </si>
  <si>
    <t>Per Flora Wack</t>
  </si>
  <si>
    <t>December - 150 people * $40 + $8k</t>
  </si>
  <si>
    <t>Per Fundraising plan</t>
  </si>
  <si>
    <t>Teachers Pay Teachers</t>
  </si>
  <si>
    <t>Over/(Under)</t>
  </si>
  <si>
    <t>Variance</t>
  </si>
  <si>
    <t>Balance Sheet</t>
  </si>
  <si>
    <t>PTO - Truist</t>
  </si>
  <si>
    <t>DIAL PTO</t>
  </si>
  <si>
    <t>100 golfers * $150 per golfer</t>
  </si>
  <si>
    <t>PTO Actual to Budget - FY23</t>
  </si>
  <si>
    <t>April - 100 people * $150 + $2k</t>
  </si>
  <si>
    <t>Dining Out</t>
  </si>
  <si>
    <t>Once per month - 25 families * $40 *20%</t>
  </si>
  <si>
    <t>Classroom reimbursements</t>
  </si>
  <si>
    <t>Taco Bamba</t>
  </si>
  <si>
    <t>Refrigerator</t>
  </si>
  <si>
    <t>M. Walker</t>
  </si>
  <si>
    <t>G. Navarro</t>
  </si>
  <si>
    <t>A. Casazza</t>
  </si>
  <si>
    <t>K. Molnar</t>
  </si>
  <si>
    <t>K. Myers</t>
  </si>
  <si>
    <t>R. Locke</t>
  </si>
  <si>
    <t>M. Baxter</t>
  </si>
  <si>
    <t>Teacher Synergy</t>
  </si>
  <si>
    <t>125 resource licenses</t>
  </si>
  <si>
    <t>E. Noonan</t>
  </si>
  <si>
    <t>K. Karau</t>
  </si>
  <si>
    <t>7/1/22 - 1/31/23</t>
  </si>
  <si>
    <t>March 11</t>
  </si>
  <si>
    <t>F. Vuong</t>
  </si>
  <si>
    <t>Red Robin</t>
  </si>
  <si>
    <t>Kinder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</si>
</sst>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4" fontId="0" fillId="0" borderId="0" xfId="2" applyFont="1"/>
    <xf numFmtId="0" fontId="0" fillId="2" borderId="0" xfId="0" applyFill="1"/>
    <xf numFmtId="44" fontId="0" fillId="2" borderId="0" xfId="2" applyFont="1" applyFill="1"/>
    <xf numFmtId="44" fontId="1" fillId="0" borderId="0" xfId="2" applyFon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2" borderId="2" xfId="0" applyFill="1" applyBorder="1"/>
    <xf numFmtId="44" fontId="0" fillId="2" borderId="2" xfId="2" applyFont="1" applyFill="1" applyBorder="1"/>
    <xf numFmtId="6" fontId="0" fillId="0" borderId="0" xfId="1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2" applyFont="1" applyAlignment="1">
      <alignment horizontal="centerContinuous"/>
    </xf>
    <xf numFmtId="43" fontId="0" fillId="0" borderId="0" xfId="1" applyFont="1" applyAlignment="1">
      <alignment horizontal="centerContinuous"/>
    </xf>
    <xf numFmtId="44" fontId="0" fillId="0" borderId="0" xfId="2" applyFont="1" applyBorder="1"/>
    <xf numFmtId="44" fontId="0" fillId="2" borderId="0" xfId="2" applyFont="1" applyFill="1" applyBorder="1"/>
    <xf numFmtId="44" fontId="1" fillId="0" borderId="0" xfId="2" applyFont="1" applyBorder="1"/>
    <xf numFmtId="164" fontId="0" fillId="0" borderId="0" xfId="2" applyNumberFormat="1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44" fontId="0" fillId="0" borderId="0" xfId="2" applyFont="1" applyAlignment="1">
      <alignment horizontal="center"/>
    </xf>
    <xf numFmtId="44" fontId="0" fillId="0" borderId="2" xfId="2" applyFont="1" applyBorder="1"/>
    <xf numFmtId="43" fontId="0" fillId="0" borderId="2" xfId="1" applyFont="1" applyBorder="1"/>
    <xf numFmtId="164" fontId="0" fillId="0" borderId="0" xfId="2" applyNumberFormat="1" applyFont="1" applyFill="1" applyBorder="1"/>
    <xf numFmtId="165" fontId="0" fillId="0" borderId="0" xfId="1" applyNumberFormat="1" applyFont="1"/>
    <xf numFmtId="166" fontId="0" fillId="0" borderId="0" xfId="2" applyNumberFormat="1" applyFont="1"/>
    <xf numFmtId="166" fontId="0" fillId="0" borderId="2" xfId="2" applyNumberFormat="1" applyFont="1" applyBorder="1"/>
    <xf numFmtId="1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0" xfId="2" applyFont="1" applyFill="1" applyBorder="1"/>
    <xf numFmtId="44" fontId="0" fillId="0" borderId="0" xfId="2" applyFont="1" applyFill="1"/>
    <xf numFmtId="43" fontId="0" fillId="0" borderId="0" xfId="1" applyFont="1" applyFill="1"/>
    <xf numFmtId="44" fontId="1" fillId="0" borderId="0" xfId="2" applyFont="1" applyFill="1"/>
    <xf numFmtId="44" fontId="0" fillId="0" borderId="0" xfId="2" applyFont="1" applyFill="1" applyAlignment="1">
      <alignment horizontal="center"/>
    </xf>
    <xf numFmtId="0" fontId="0" fillId="0" borderId="0" xfId="0" applyAlignment="1">
      <alignment horizontal="left"/>
    </xf>
    <xf numFmtId="167" fontId="3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3" fontId="0" fillId="0" borderId="3" xfId="1" applyFont="1" applyBorder="1"/>
    <xf numFmtId="167" fontId="4" fillId="0" borderId="0" xfId="0" applyNumberFormat="1" applyFont="1"/>
    <xf numFmtId="16" fontId="0" fillId="0" borderId="0" xfId="1" quotePrefix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D8" sqref="D8"/>
    </sheetView>
  </sheetViews>
  <sheetFormatPr defaultColWidth="8.85546875" defaultRowHeight="15" x14ac:dyDescent="0.25"/>
  <cols>
    <col min="1" max="1" width="4" style="12" bestFit="1" customWidth="1"/>
    <col min="2" max="2" width="33.42578125" customWidth="1"/>
    <col min="3" max="3" width="17.7109375" style="3" customWidth="1"/>
    <col min="4" max="6" width="15.140625" style="3" customWidth="1"/>
    <col min="7" max="7" width="13" style="2" customWidth="1"/>
  </cols>
  <sheetData>
    <row r="1" spans="1:12" x14ac:dyDescent="0.25">
      <c r="A1" s="16" t="s">
        <v>56</v>
      </c>
      <c r="B1" s="17"/>
      <c r="C1" s="18"/>
      <c r="D1" s="18"/>
      <c r="E1" s="18"/>
      <c r="F1" s="18"/>
      <c r="G1" s="19"/>
      <c r="H1" s="17"/>
      <c r="I1" s="17"/>
      <c r="J1" s="17"/>
      <c r="K1" s="17"/>
    </row>
    <row r="2" spans="1:12" x14ac:dyDescent="0.25">
      <c r="A2" s="16" t="s">
        <v>70</v>
      </c>
      <c r="B2" s="17"/>
      <c r="C2" s="18"/>
      <c r="D2" s="18"/>
      <c r="E2" s="18"/>
      <c r="F2" s="18"/>
      <c r="G2" s="19"/>
      <c r="H2" s="17"/>
      <c r="I2" s="17"/>
      <c r="J2" s="17"/>
      <c r="K2" s="17"/>
    </row>
    <row r="3" spans="1:12" x14ac:dyDescent="0.25">
      <c r="A3" s="16"/>
      <c r="B3" s="17"/>
      <c r="C3" s="18"/>
      <c r="D3" s="18"/>
      <c r="E3" s="18"/>
      <c r="F3" s="18"/>
      <c r="G3" s="19"/>
      <c r="H3" s="17"/>
      <c r="I3" s="17"/>
      <c r="J3" s="17"/>
      <c r="K3" s="17"/>
    </row>
    <row r="4" spans="1:12" x14ac:dyDescent="0.25">
      <c r="A4" s="12" t="s">
        <v>43</v>
      </c>
      <c r="C4" s="12" t="s">
        <v>37</v>
      </c>
      <c r="D4" s="12" t="s">
        <v>38</v>
      </c>
      <c r="E4" s="12" t="s">
        <v>39</v>
      </c>
      <c r="F4" s="12"/>
      <c r="G4" s="15"/>
    </row>
    <row r="5" spans="1:12" x14ac:dyDescent="0.25">
      <c r="C5" s="1" t="s">
        <v>1</v>
      </c>
      <c r="D5" s="1" t="s">
        <v>59</v>
      </c>
      <c r="E5" s="1" t="s">
        <v>1</v>
      </c>
      <c r="F5" s="1" t="s">
        <v>68</v>
      </c>
      <c r="G5"/>
    </row>
    <row r="6" spans="1:12" x14ac:dyDescent="0.25">
      <c r="C6" s="1" t="s">
        <v>57</v>
      </c>
      <c r="D6" s="1" t="s">
        <v>58</v>
      </c>
      <c r="E6" s="1" t="s">
        <v>60</v>
      </c>
      <c r="F6" s="1" t="s">
        <v>69</v>
      </c>
      <c r="G6" s="7" t="s">
        <v>3</v>
      </c>
      <c r="H6" s="8"/>
      <c r="I6" s="8"/>
      <c r="J6" s="8"/>
      <c r="K6" s="8"/>
    </row>
    <row r="7" spans="1:12" x14ac:dyDescent="0.25">
      <c r="C7"/>
      <c r="D7"/>
      <c r="E7"/>
      <c r="F7"/>
      <c r="G7"/>
    </row>
    <row r="8" spans="1:12" x14ac:dyDescent="0.25">
      <c r="A8" s="12">
        <v>1</v>
      </c>
      <c r="B8" t="s">
        <v>0</v>
      </c>
      <c r="C8" s="20">
        <v>800</v>
      </c>
      <c r="D8" s="22">
        <v>731.32</v>
      </c>
      <c r="E8" s="20">
        <v>806</v>
      </c>
      <c r="F8" s="20">
        <f>+E8-C8</f>
        <v>6</v>
      </c>
      <c r="G8" s="2" t="s">
        <v>84</v>
      </c>
    </row>
    <row r="9" spans="1:12" x14ac:dyDescent="0.25">
      <c r="A9" s="12">
        <v>2</v>
      </c>
      <c r="B9" t="s">
        <v>2</v>
      </c>
      <c r="C9" s="20">
        <f>109*60</f>
        <v>6540</v>
      </c>
      <c r="D9" s="22">
        <v>6540</v>
      </c>
      <c r="E9" s="20">
        <v>6540</v>
      </c>
      <c r="F9" s="20">
        <f t="shared" ref="F9:F19" si="0">+E9-C9</f>
        <v>0</v>
      </c>
      <c r="G9" s="2" t="s">
        <v>61</v>
      </c>
    </row>
    <row r="10" spans="1:12" x14ac:dyDescent="0.25">
      <c r="A10" s="12">
        <v>3</v>
      </c>
      <c r="B10" t="s">
        <v>7</v>
      </c>
      <c r="C10" s="20">
        <v>600</v>
      </c>
      <c r="D10" s="22">
        <v>1010</v>
      </c>
      <c r="E10" s="20">
        <v>1010</v>
      </c>
      <c r="F10" s="20">
        <f t="shared" si="0"/>
        <v>410</v>
      </c>
      <c r="G10" s="2" t="s">
        <v>74</v>
      </c>
    </row>
    <row r="11" spans="1:12" x14ac:dyDescent="0.25">
      <c r="A11" s="12">
        <v>4</v>
      </c>
      <c r="B11" t="s">
        <v>6</v>
      </c>
      <c r="C11" s="20">
        <v>800</v>
      </c>
      <c r="D11" s="20">
        <v>815.54</v>
      </c>
      <c r="E11" s="20">
        <v>815.54</v>
      </c>
      <c r="F11" s="20">
        <f t="shared" si="0"/>
        <v>15.539999999999964</v>
      </c>
      <c r="G11" s="2" t="s">
        <v>75</v>
      </c>
    </row>
    <row r="12" spans="1:12" x14ac:dyDescent="0.25">
      <c r="A12" s="12">
        <v>5</v>
      </c>
      <c r="B12" t="s">
        <v>10</v>
      </c>
      <c r="C12" s="20">
        <v>800</v>
      </c>
      <c r="D12" s="20">
        <v>585.03</v>
      </c>
      <c r="E12" s="20">
        <f>585.03+250</f>
        <v>835.03</v>
      </c>
      <c r="F12" s="20">
        <f t="shared" si="0"/>
        <v>35.029999999999973</v>
      </c>
      <c r="G12" s="2" t="s">
        <v>85</v>
      </c>
      <c r="K12" s="34"/>
    </row>
    <row r="13" spans="1:12" x14ac:dyDescent="0.25">
      <c r="A13" s="12">
        <v>6</v>
      </c>
      <c r="B13" t="s">
        <v>8</v>
      </c>
      <c r="C13" s="20">
        <v>1700</v>
      </c>
      <c r="D13" s="20">
        <v>1505.2</v>
      </c>
      <c r="E13" s="20">
        <v>1505.2</v>
      </c>
      <c r="F13" s="20">
        <f t="shared" si="0"/>
        <v>-194.79999999999995</v>
      </c>
      <c r="G13" s="2" t="s">
        <v>73</v>
      </c>
    </row>
    <row r="14" spans="1:12" x14ac:dyDescent="0.25">
      <c r="A14" s="12">
        <v>7</v>
      </c>
      <c r="B14" t="s">
        <v>53</v>
      </c>
      <c r="C14" s="20">
        <v>400</v>
      </c>
      <c r="D14" s="20">
        <v>369</v>
      </c>
      <c r="E14" s="20">
        <v>369</v>
      </c>
      <c r="F14" s="20">
        <f>+E14-C14</f>
        <v>-31</v>
      </c>
      <c r="G14" s="2" t="s">
        <v>72</v>
      </c>
    </row>
    <row r="15" spans="1:12" x14ac:dyDescent="0.25">
      <c r="A15" s="12">
        <v>8</v>
      </c>
      <c r="B15" t="s">
        <v>48</v>
      </c>
      <c r="C15" s="20">
        <v>1000</v>
      </c>
      <c r="D15" s="20">
        <v>0</v>
      </c>
      <c r="E15" s="20">
        <v>0</v>
      </c>
      <c r="F15" s="20">
        <f t="shared" si="0"/>
        <v>-1000</v>
      </c>
      <c r="G15" s="2" t="s">
        <v>62</v>
      </c>
      <c r="L15" s="2"/>
    </row>
    <row r="16" spans="1:12" x14ac:dyDescent="0.25">
      <c r="A16" s="12">
        <v>9</v>
      </c>
      <c r="B16" t="s">
        <v>15</v>
      </c>
      <c r="C16" s="20">
        <v>1000</v>
      </c>
      <c r="D16" s="20">
        <v>1242</v>
      </c>
      <c r="E16" s="20">
        <v>1242</v>
      </c>
      <c r="F16" s="20">
        <f t="shared" si="0"/>
        <v>242</v>
      </c>
      <c r="G16" s="2" t="s">
        <v>76</v>
      </c>
      <c r="L16" s="2"/>
    </row>
    <row r="17" spans="1:12" x14ac:dyDescent="0.25">
      <c r="A17" s="12">
        <v>10</v>
      </c>
      <c r="B17" t="s">
        <v>28</v>
      </c>
      <c r="C17" s="20">
        <v>400</v>
      </c>
      <c r="D17" s="20">
        <v>0</v>
      </c>
      <c r="E17" s="20">
        <v>0</v>
      </c>
      <c r="F17" s="20">
        <f t="shared" si="0"/>
        <v>-400</v>
      </c>
      <c r="G17" s="2" t="s">
        <v>62</v>
      </c>
      <c r="L17" s="2"/>
    </row>
    <row r="18" spans="1:12" x14ac:dyDescent="0.25">
      <c r="A18" s="12">
        <v>11</v>
      </c>
      <c r="B18" t="s">
        <v>11</v>
      </c>
      <c r="C18" s="20">
        <v>5000</v>
      </c>
      <c r="D18" s="20">
        <v>10046.52</v>
      </c>
      <c r="E18" s="20">
        <v>10046.52</v>
      </c>
      <c r="F18" s="20">
        <f t="shared" si="0"/>
        <v>5046.5200000000004</v>
      </c>
      <c r="G18" s="2" t="s">
        <v>71</v>
      </c>
      <c r="L18" s="2"/>
    </row>
    <row r="19" spans="1:12" x14ac:dyDescent="0.25">
      <c r="A19" s="12">
        <v>12</v>
      </c>
      <c r="B19" t="s">
        <v>77</v>
      </c>
      <c r="C19" s="20">
        <v>0</v>
      </c>
      <c r="D19" s="20">
        <v>3.6</v>
      </c>
      <c r="E19" s="20">
        <v>3.6</v>
      </c>
      <c r="F19" s="20">
        <f t="shared" si="0"/>
        <v>3.6</v>
      </c>
      <c r="G19" s="2" t="s">
        <v>78</v>
      </c>
      <c r="L19" s="2"/>
    </row>
    <row r="20" spans="1:12" x14ac:dyDescent="0.25">
      <c r="A20" s="13">
        <v>13</v>
      </c>
      <c r="B20" s="4" t="s">
        <v>12</v>
      </c>
      <c r="C20" s="21">
        <f>SUM(C8:C19)</f>
        <v>19040</v>
      </c>
      <c r="D20" s="21">
        <f>SUM(D8:D19)</f>
        <v>22848.21</v>
      </c>
      <c r="E20" s="21">
        <f>SUM(E8:E19)</f>
        <v>23172.89</v>
      </c>
      <c r="F20" s="21">
        <f>SUM(F8:F19)</f>
        <v>4132.8900000000012</v>
      </c>
    </row>
    <row r="21" spans="1:12" x14ac:dyDescent="0.25">
      <c r="C21" s="20"/>
      <c r="D21" s="20"/>
      <c r="E21" s="20"/>
      <c r="F21" s="20"/>
    </row>
    <row r="22" spans="1:12" x14ac:dyDescent="0.25">
      <c r="A22" s="12">
        <v>14</v>
      </c>
      <c r="B22" t="s">
        <v>4</v>
      </c>
      <c r="C22" s="20">
        <v>129</v>
      </c>
      <c r="D22" s="20">
        <v>0</v>
      </c>
      <c r="E22" s="22">
        <v>129</v>
      </c>
      <c r="F22" s="20">
        <f t="shared" ref="F22:F32" si="1">+C22-E22</f>
        <v>0</v>
      </c>
      <c r="G22" s="2" t="s">
        <v>80</v>
      </c>
    </row>
    <row r="23" spans="1:12" x14ac:dyDescent="0.25">
      <c r="A23" s="12">
        <v>15</v>
      </c>
      <c r="B23" t="s">
        <v>64</v>
      </c>
      <c r="C23" s="20">
        <v>100</v>
      </c>
      <c r="D23" s="20">
        <v>85.69</v>
      </c>
      <c r="E23" s="20">
        <v>85.69</v>
      </c>
      <c r="F23" s="20">
        <f t="shared" si="1"/>
        <v>14.310000000000002</v>
      </c>
      <c r="G23" s="2" t="s">
        <v>58</v>
      </c>
    </row>
    <row r="24" spans="1:12" x14ac:dyDescent="0.25">
      <c r="A24" s="12">
        <v>16</v>
      </c>
      <c r="B24" t="s">
        <v>67</v>
      </c>
      <c r="C24" s="20">
        <v>0</v>
      </c>
      <c r="D24" s="20">
        <v>500</v>
      </c>
      <c r="E24" s="22">
        <v>500</v>
      </c>
      <c r="F24" s="20">
        <f t="shared" si="1"/>
        <v>-500</v>
      </c>
      <c r="G24" s="2" t="s">
        <v>58</v>
      </c>
    </row>
    <row r="25" spans="1:12" x14ac:dyDescent="0.25">
      <c r="A25" s="12">
        <v>17</v>
      </c>
      <c r="B25" t="s">
        <v>41</v>
      </c>
      <c r="C25" s="20">
        <v>3000</v>
      </c>
      <c r="D25" s="20">
        <v>3210</v>
      </c>
      <c r="E25" s="22">
        <v>3210</v>
      </c>
      <c r="F25" s="20">
        <f t="shared" si="1"/>
        <v>-210</v>
      </c>
      <c r="G25" s="2" t="s">
        <v>86</v>
      </c>
      <c r="L25" s="2"/>
    </row>
    <row r="26" spans="1:12" x14ac:dyDescent="0.25">
      <c r="A26" s="12">
        <v>18</v>
      </c>
      <c r="B26" t="s">
        <v>65</v>
      </c>
      <c r="C26" s="20">
        <v>0</v>
      </c>
      <c r="D26" s="20">
        <v>206.75</v>
      </c>
      <c r="E26" s="20">
        <v>206.75</v>
      </c>
      <c r="F26" s="20">
        <f t="shared" si="1"/>
        <v>-206.75</v>
      </c>
      <c r="G26" s="2" t="s">
        <v>58</v>
      </c>
      <c r="L26" s="2"/>
    </row>
    <row r="27" spans="1:12" x14ac:dyDescent="0.25">
      <c r="A27" s="12">
        <v>19</v>
      </c>
      <c r="B27" t="s">
        <v>66</v>
      </c>
      <c r="C27" s="20">
        <v>0</v>
      </c>
      <c r="D27" s="20">
        <f>39.97</f>
        <v>39.97</v>
      </c>
      <c r="E27" s="20">
        <f>39.97</f>
        <v>39.97</v>
      </c>
      <c r="F27" s="20">
        <f t="shared" si="1"/>
        <v>-39.97</v>
      </c>
      <c r="G27" s="2" t="s">
        <v>58</v>
      </c>
      <c r="L27" s="2"/>
    </row>
    <row r="28" spans="1:12" x14ac:dyDescent="0.25">
      <c r="A28" s="12">
        <v>20</v>
      </c>
      <c r="B28" t="s">
        <v>16</v>
      </c>
      <c r="C28" s="20">
        <v>350</v>
      </c>
      <c r="D28" s="20">
        <v>0</v>
      </c>
      <c r="E28" s="22">
        <v>0</v>
      </c>
      <c r="F28" s="20">
        <f t="shared" si="1"/>
        <v>350</v>
      </c>
      <c r="G28" s="2" t="s">
        <v>81</v>
      </c>
      <c r="L28" s="2"/>
    </row>
    <row r="29" spans="1:12" x14ac:dyDescent="0.25">
      <c r="A29" s="12">
        <v>21</v>
      </c>
      <c r="B29" t="s">
        <v>48</v>
      </c>
      <c r="C29" s="20">
        <v>500</v>
      </c>
      <c r="D29" s="20">
        <v>0</v>
      </c>
      <c r="E29" s="22">
        <v>0</v>
      </c>
      <c r="F29" s="20">
        <f t="shared" si="1"/>
        <v>500</v>
      </c>
      <c r="G29" s="2" t="s">
        <v>62</v>
      </c>
    </row>
    <row r="30" spans="1:12" x14ac:dyDescent="0.25">
      <c r="A30" s="12">
        <v>22</v>
      </c>
      <c r="B30" t="s">
        <v>15</v>
      </c>
      <c r="C30" s="20">
        <v>500</v>
      </c>
      <c r="D30" s="20">
        <v>535.37</v>
      </c>
      <c r="E30" s="20">
        <v>535.37</v>
      </c>
      <c r="F30" s="20">
        <f t="shared" si="1"/>
        <v>-35.370000000000005</v>
      </c>
      <c r="G30" s="2" t="s">
        <v>99</v>
      </c>
    </row>
    <row r="31" spans="1:12" x14ac:dyDescent="0.25">
      <c r="A31" s="12">
        <v>23</v>
      </c>
      <c r="B31" t="s">
        <v>28</v>
      </c>
      <c r="C31" s="20">
        <v>300</v>
      </c>
      <c r="D31" s="20">
        <v>0</v>
      </c>
      <c r="E31" s="22">
        <v>0</v>
      </c>
      <c r="F31" s="20">
        <f t="shared" si="1"/>
        <v>300</v>
      </c>
      <c r="G31" s="2" t="s">
        <v>62</v>
      </c>
    </row>
    <row r="32" spans="1:12" x14ac:dyDescent="0.25">
      <c r="A32" s="12">
        <v>24</v>
      </c>
      <c r="B32" t="s">
        <v>26</v>
      </c>
      <c r="C32" s="20">
        <v>1000</v>
      </c>
      <c r="D32" s="20">
        <v>1858.89</v>
      </c>
      <c r="E32" s="22">
        <v>2468.3100000000004</v>
      </c>
      <c r="F32" s="20">
        <f t="shared" si="1"/>
        <v>-1468.3100000000004</v>
      </c>
      <c r="G32" s="2" t="s">
        <v>82</v>
      </c>
    </row>
    <row r="33" spans="1:9" x14ac:dyDescent="0.25">
      <c r="A33" s="12">
        <v>25</v>
      </c>
      <c r="B33" t="s">
        <v>19</v>
      </c>
      <c r="C33" s="20">
        <f>17*250</f>
        <v>4250</v>
      </c>
      <c r="D33" s="20">
        <v>509.22</v>
      </c>
      <c r="E33" s="22">
        <v>3741.49</v>
      </c>
      <c r="F33" s="20">
        <f>+C33-E33</f>
        <v>508.51000000000022</v>
      </c>
      <c r="G33" s="2" t="s">
        <v>83</v>
      </c>
    </row>
    <row r="34" spans="1:9" x14ac:dyDescent="0.25">
      <c r="A34" s="12">
        <v>26</v>
      </c>
      <c r="B34" t="s">
        <v>63</v>
      </c>
      <c r="C34" s="20">
        <v>3000</v>
      </c>
      <c r="D34" s="20">
        <v>3300</v>
      </c>
      <c r="E34" s="22">
        <v>3300</v>
      </c>
      <c r="F34" s="20">
        <f>+C34-E34</f>
        <v>-300</v>
      </c>
      <c r="G34" s="2" t="s">
        <v>45</v>
      </c>
    </row>
    <row r="35" spans="1:9" x14ac:dyDescent="0.25">
      <c r="A35" s="12">
        <v>27</v>
      </c>
      <c r="B35" t="s">
        <v>79</v>
      </c>
      <c r="C35" s="20">
        <v>0</v>
      </c>
      <c r="D35" s="20">
        <v>0</v>
      </c>
      <c r="E35" s="22">
        <v>1880</v>
      </c>
      <c r="F35" s="20">
        <f>+C35-E35</f>
        <v>-1880</v>
      </c>
      <c r="G35" s="2" t="s">
        <v>87</v>
      </c>
    </row>
    <row r="36" spans="1:9" x14ac:dyDescent="0.25">
      <c r="A36" s="13">
        <v>28</v>
      </c>
      <c r="B36" s="4" t="s">
        <v>20</v>
      </c>
      <c r="C36" s="21">
        <f>SUM(C22:C35)</f>
        <v>13129</v>
      </c>
      <c r="D36" s="21">
        <f>SUM(D22:D35)</f>
        <v>10245.89</v>
      </c>
      <c r="E36" s="21">
        <f>SUM(E22:E35)</f>
        <v>16096.580000000002</v>
      </c>
      <c r="F36" s="21">
        <f>SUM(F22:F35)</f>
        <v>-2967.5800000000004</v>
      </c>
    </row>
    <row r="37" spans="1:9" ht="15.75" thickBot="1" x14ac:dyDescent="0.3">
      <c r="A37" s="14">
        <v>29</v>
      </c>
      <c r="B37" s="9" t="s">
        <v>21</v>
      </c>
      <c r="C37" s="10">
        <f>+C20-C36</f>
        <v>5911</v>
      </c>
      <c r="D37" s="10">
        <f>+D20-D36</f>
        <v>12602.32</v>
      </c>
      <c r="E37" s="10">
        <f t="shared" ref="E37" si="2">+E20-E36</f>
        <v>7076.3099999999977</v>
      </c>
      <c r="F37" s="10">
        <f>+F20+F36</f>
        <v>1165.3100000000009</v>
      </c>
      <c r="G37" s="24">
        <f>F37/C37</f>
        <v>0.19714261546269682</v>
      </c>
    </row>
    <row r="38" spans="1:9" ht="15.75" thickTop="1" x14ac:dyDescent="0.25">
      <c r="F38" s="23"/>
    </row>
    <row r="40" spans="1:9" x14ac:dyDescent="0.25">
      <c r="A40" s="25" t="s">
        <v>88</v>
      </c>
      <c r="C40" s="26" t="s">
        <v>90</v>
      </c>
      <c r="D40" s="26" t="s">
        <v>91</v>
      </c>
      <c r="E40" s="26" t="s">
        <v>92</v>
      </c>
      <c r="F40" s="26" t="s">
        <v>95</v>
      </c>
      <c r="G40" s="2" t="s">
        <v>96</v>
      </c>
      <c r="H40" s="26"/>
      <c r="I40" s="2"/>
    </row>
    <row r="41" spans="1:9" x14ac:dyDescent="0.25">
      <c r="B41" t="s">
        <v>89</v>
      </c>
      <c r="C41" s="3">
        <f>E14</f>
        <v>369</v>
      </c>
      <c r="D41" s="3">
        <f>E28</f>
        <v>0</v>
      </c>
      <c r="E41" s="3">
        <f t="shared" ref="E41:E46" si="3">C41-D41</f>
        <v>369</v>
      </c>
      <c r="F41" s="3">
        <f>C14-C28</f>
        <v>50</v>
      </c>
      <c r="G41" s="2">
        <f>E41-F41</f>
        <v>319</v>
      </c>
      <c r="H41" s="2" t="s">
        <v>46</v>
      </c>
    </row>
    <row r="42" spans="1:9" x14ac:dyDescent="0.25">
      <c r="B42" t="s">
        <v>93</v>
      </c>
      <c r="C42" s="3">
        <f>E13</f>
        <v>1505.2</v>
      </c>
      <c r="D42" s="3">
        <v>0</v>
      </c>
      <c r="E42" s="3">
        <f t="shared" si="3"/>
        <v>1505.2</v>
      </c>
      <c r="F42" s="3">
        <f>C13</f>
        <v>1700</v>
      </c>
      <c r="G42" s="2">
        <f t="shared" ref="G42:G46" si="4">E42-F42</f>
        <v>-194.79999999999995</v>
      </c>
      <c r="H42" s="2" t="s">
        <v>94</v>
      </c>
    </row>
    <row r="43" spans="1:9" x14ac:dyDescent="0.25">
      <c r="B43" t="s">
        <v>48</v>
      </c>
      <c r="C43" s="3">
        <v>0</v>
      </c>
      <c r="D43" s="3">
        <v>0</v>
      </c>
      <c r="E43" s="3">
        <f t="shared" si="3"/>
        <v>0</v>
      </c>
      <c r="F43" s="3">
        <f>C15-C29</f>
        <v>500</v>
      </c>
      <c r="G43" s="2">
        <f t="shared" si="4"/>
        <v>-500</v>
      </c>
      <c r="H43" s="2" t="s">
        <v>47</v>
      </c>
    </row>
    <row r="44" spans="1:9" x14ac:dyDescent="0.25">
      <c r="B44" t="s">
        <v>50</v>
      </c>
      <c r="C44" s="3">
        <f>E16</f>
        <v>1242</v>
      </c>
      <c r="D44" s="3">
        <f>E30</f>
        <v>535.37</v>
      </c>
      <c r="E44" s="3">
        <f t="shared" si="3"/>
        <v>706.63</v>
      </c>
      <c r="F44" s="3">
        <f>C16-C30</f>
        <v>500</v>
      </c>
      <c r="G44" s="2">
        <f t="shared" si="4"/>
        <v>206.63</v>
      </c>
      <c r="H44" s="2" t="s">
        <v>49</v>
      </c>
    </row>
    <row r="45" spans="1:9" x14ac:dyDescent="0.25">
      <c r="B45" t="s">
        <v>51</v>
      </c>
      <c r="C45" s="3">
        <f>E18</f>
        <v>10046.52</v>
      </c>
      <c r="D45" s="3">
        <f>E32</f>
        <v>2468.3100000000004</v>
      </c>
      <c r="E45" s="3">
        <f t="shared" si="3"/>
        <v>7578.21</v>
      </c>
      <c r="F45" s="3">
        <f>C18-C32</f>
        <v>4000</v>
      </c>
      <c r="G45" s="2">
        <f t="shared" si="4"/>
        <v>3578.21</v>
      </c>
      <c r="H45" s="2" t="s">
        <v>97</v>
      </c>
    </row>
    <row r="46" spans="1:9" x14ac:dyDescent="0.25">
      <c r="B46" t="s">
        <v>28</v>
      </c>
      <c r="C46" s="3">
        <v>0</v>
      </c>
      <c r="D46" s="3">
        <v>0</v>
      </c>
      <c r="E46" s="3">
        <f t="shared" si="3"/>
        <v>0</v>
      </c>
      <c r="F46" s="3">
        <f>C17-C31</f>
        <v>100</v>
      </c>
      <c r="G46" s="2">
        <f t="shared" si="4"/>
        <v>-100</v>
      </c>
      <c r="H46" s="2" t="s">
        <v>52</v>
      </c>
    </row>
    <row r="47" spans="1:9" ht="15.75" thickBot="1" x14ac:dyDescent="0.3">
      <c r="A47" s="25" t="s">
        <v>98</v>
      </c>
      <c r="C47" s="27">
        <f t="shared" ref="C47:G47" si="5">SUM(C41:C46)</f>
        <v>13162.720000000001</v>
      </c>
      <c r="D47" s="27">
        <f t="shared" si="5"/>
        <v>3003.6800000000003</v>
      </c>
      <c r="E47" s="27">
        <f t="shared" si="5"/>
        <v>10159.040000000001</v>
      </c>
      <c r="F47" s="27">
        <f t="shared" si="5"/>
        <v>6850</v>
      </c>
      <c r="G47" s="28">
        <f t="shared" si="5"/>
        <v>3309.04</v>
      </c>
      <c r="H47" s="29">
        <f>G47/F47</f>
        <v>0.48307153284671533</v>
      </c>
    </row>
    <row r="48" spans="1:9" ht="15.75" thickTop="1" x14ac:dyDescent="0.25"/>
    <row r="50" spans="1:7" x14ac:dyDescent="0.25">
      <c r="A50" s="15" t="s">
        <v>100</v>
      </c>
      <c r="B50" s="30"/>
      <c r="C50"/>
      <c r="D50"/>
      <c r="E50"/>
      <c r="F50"/>
      <c r="G50"/>
    </row>
    <row r="51" spans="1:7" x14ac:dyDescent="0.25">
      <c r="A51"/>
      <c r="B51" s="30"/>
      <c r="C51" s="33" t="s">
        <v>107</v>
      </c>
      <c r="D51" s="33" t="s">
        <v>108</v>
      </c>
      <c r="E51" s="1" t="s">
        <v>101</v>
      </c>
    </row>
    <row r="52" spans="1:7" x14ac:dyDescent="0.25">
      <c r="A52" t="s">
        <v>102</v>
      </c>
      <c r="B52" s="30"/>
      <c r="C52" s="31">
        <f>16189.69-3232.27-443.16-166.26-1880-40.89+250-129</f>
        <v>10548.11</v>
      </c>
      <c r="D52" s="31">
        <v>4279</v>
      </c>
      <c r="E52" s="31">
        <f>+C52-D52</f>
        <v>6269.1100000000006</v>
      </c>
    </row>
    <row r="53" spans="1:7" x14ac:dyDescent="0.25">
      <c r="A53" t="s">
        <v>103</v>
      </c>
      <c r="B53" s="30"/>
      <c r="C53" s="31">
        <f>44307.08+75</f>
        <v>44382.080000000002</v>
      </c>
      <c r="D53" s="31">
        <v>43575</v>
      </c>
      <c r="E53" s="31">
        <f>+C53-D53</f>
        <v>807.08000000000175</v>
      </c>
    </row>
    <row r="54" spans="1:7" ht="15.75" thickBot="1" x14ac:dyDescent="0.3">
      <c r="A54" t="s">
        <v>104</v>
      </c>
      <c r="B54" s="30"/>
      <c r="C54" s="32">
        <f>SUM(C52:C53)</f>
        <v>54930.19</v>
      </c>
      <c r="D54" s="32">
        <f>SUM(D52:D53)</f>
        <v>47854</v>
      </c>
      <c r="E54" s="32">
        <f>SUM(E52:E53)</f>
        <v>7076.1900000000023</v>
      </c>
    </row>
    <row r="55" spans="1:7" ht="15.75" thickTop="1" x14ac:dyDescent="0.25">
      <c r="A55"/>
      <c r="B55" s="30"/>
      <c r="C55"/>
      <c r="D55"/>
      <c r="E55"/>
      <c r="F55"/>
      <c r="G55"/>
    </row>
    <row r="56" spans="1:7" x14ac:dyDescent="0.25">
      <c r="A56" t="s">
        <v>105</v>
      </c>
      <c r="B56" s="30"/>
      <c r="C56"/>
      <c r="D56"/>
      <c r="E56"/>
      <c r="F56"/>
      <c r="G56"/>
    </row>
    <row r="57" spans="1:7" x14ac:dyDescent="0.25">
      <c r="A57" t="s">
        <v>106</v>
      </c>
      <c r="B57" s="30"/>
      <c r="C57"/>
      <c r="D57"/>
      <c r="E57"/>
      <c r="F57"/>
      <c r="G57"/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zoomScaleNormal="100" workbookViewId="0">
      <pane xSplit="2" ySplit="6" topLeftCell="C7" activePane="bottomRight" state="frozen"/>
      <selection activeCell="B21" sqref="B21"/>
      <selection pane="topRight" activeCell="B21" sqref="B21"/>
      <selection pane="bottomLeft" activeCell="B21" sqref="B21"/>
      <selection pane="bottomRight" activeCell="H17" sqref="H17"/>
    </sheetView>
  </sheetViews>
  <sheetFormatPr defaultColWidth="8.85546875" defaultRowHeight="15" x14ac:dyDescent="0.25"/>
  <cols>
    <col min="1" max="1" width="4" style="12" bestFit="1" customWidth="1"/>
    <col min="2" max="2" width="34.28515625" customWidth="1"/>
    <col min="3" max="3" width="15.140625" style="3" bestFit="1" customWidth="1"/>
    <col min="4" max="5" width="15.140625" style="3" customWidth="1"/>
    <col min="6" max="6" width="10.28515625" style="2" customWidth="1"/>
    <col min="8" max="8" width="10.7109375" bestFit="1" customWidth="1"/>
    <col min="10" max="11" width="11.140625" bestFit="1" customWidth="1"/>
  </cols>
  <sheetData>
    <row r="1" spans="1:13" x14ac:dyDescent="0.25">
      <c r="A1" s="16" t="s">
        <v>56</v>
      </c>
      <c r="B1" s="17"/>
      <c r="C1" s="18"/>
      <c r="D1" s="18"/>
      <c r="E1" s="18"/>
      <c r="F1" s="19"/>
      <c r="G1" s="17"/>
      <c r="H1" s="17"/>
      <c r="I1" s="17"/>
      <c r="J1" s="17"/>
    </row>
    <row r="2" spans="1:13" x14ac:dyDescent="0.25">
      <c r="A2" s="16" t="s">
        <v>134</v>
      </c>
      <c r="B2" s="17"/>
      <c r="C2" s="18"/>
      <c r="D2" s="18"/>
      <c r="E2" s="18"/>
      <c r="F2" s="19"/>
      <c r="G2" s="17"/>
      <c r="H2" s="17"/>
      <c r="I2" s="17"/>
      <c r="J2" s="17"/>
    </row>
    <row r="3" spans="1:13" x14ac:dyDescent="0.25">
      <c r="A3" s="16"/>
      <c r="B3" s="17"/>
      <c r="C3" s="18"/>
      <c r="D3" s="18"/>
      <c r="E3" s="18"/>
      <c r="F3" s="15" t="s">
        <v>124</v>
      </c>
      <c r="G3" s="17"/>
      <c r="H3" s="17"/>
      <c r="I3" s="17"/>
      <c r="J3" s="17"/>
    </row>
    <row r="4" spans="1:13" x14ac:dyDescent="0.25">
      <c r="A4" s="12" t="s">
        <v>43</v>
      </c>
      <c r="C4" s="12" t="s">
        <v>58</v>
      </c>
      <c r="D4" s="12" t="s">
        <v>57</v>
      </c>
      <c r="E4" s="12" t="s">
        <v>129</v>
      </c>
      <c r="F4" s="15" t="s">
        <v>113</v>
      </c>
    </row>
    <row r="5" spans="1:13" x14ac:dyDescent="0.25">
      <c r="C5" s="1" t="s">
        <v>109</v>
      </c>
      <c r="D5" s="1" t="s">
        <v>109</v>
      </c>
      <c r="E5" s="1" t="s">
        <v>109</v>
      </c>
      <c r="F5"/>
    </row>
    <row r="6" spans="1:13" x14ac:dyDescent="0.25">
      <c r="C6" s="1" t="s">
        <v>152</v>
      </c>
      <c r="D6" s="1"/>
      <c r="E6" s="39" t="s">
        <v>128</v>
      </c>
      <c r="F6" s="7" t="s">
        <v>3</v>
      </c>
      <c r="G6" s="8"/>
      <c r="H6" s="8"/>
      <c r="I6" s="8"/>
      <c r="J6" s="8"/>
    </row>
    <row r="7" spans="1:13" x14ac:dyDescent="0.25">
      <c r="C7"/>
      <c r="D7"/>
      <c r="E7" s="36"/>
      <c r="F7"/>
      <c r="M7" s="41"/>
    </row>
    <row r="8" spans="1:13" x14ac:dyDescent="0.25">
      <c r="A8" s="12">
        <v>1</v>
      </c>
      <c r="B8" t="s">
        <v>0</v>
      </c>
      <c r="C8" s="36">
        <f>75.51+75.64+73.33+75.89+73.57+76.15+76.28+69.01</f>
        <v>595.38</v>
      </c>
      <c r="D8" s="3">
        <v>850</v>
      </c>
      <c r="E8" s="36">
        <f>C8-D8</f>
        <v>-254.62</v>
      </c>
      <c r="F8" s="37"/>
      <c r="L8" s="41"/>
      <c r="M8" s="41"/>
    </row>
    <row r="9" spans="1:13" x14ac:dyDescent="0.25">
      <c r="A9" s="12">
        <f t="shared" ref="A9:A17" si="0">+A8+1</f>
        <v>2</v>
      </c>
      <c r="B9" t="s">
        <v>2</v>
      </c>
      <c r="C9" s="38">
        <v>6720</v>
      </c>
      <c r="D9" s="6">
        <f>110*60</f>
        <v>6600</v>
      </c>
      <c r="E9" s="36">
        <f t="shared" ref="E9:E30" si="1">C9-D9</f>
        <v>120</v>
      </c>
      <c r="F9" s="37" t="s">
        <v>114</v>
      </c>
      <c r="L9" s="41"/>
    </row>
    <row r="10" spans="1:13" x14ac:dyDescent="0.25">
      <c r="A10" s="12">
        <f t="shared" si="0"/>
        <v>3</v>
      </c>
      <c r="B10" t="s">
        <v>7</v>
      </c>
      <c r="C10" s="36">
        <f>780+565</f>
        <v>1345</v>
      </c>
      <c r="D10" s="3">
        <f>780+(750*2)</f>
        <v>2280</v>
      </c>
      <c r="E10" s="36">
        <f t="shared" si="1"/>
        <v>-935</v>
      </c>
      <c r="F10" s="37" t="s">
        <v>123</v>
      </c>
      <c r="L10" s="41"/>
    </row>
    <row r="11" spans="1:13" x14ac:dyDescent="0.25">
      <c r="A11" s="12">
        <f t="shared" si="0"/>
        <v>4</v>
      </c>
      <c r="B11" t="s">
        <v>6</v>
      </c>
      <c r="C11" s="36">
        <f>162.55+181.87+205.89</f>
        <v>550.30999999999995</v>
      </c>
      <c r="D11" s="20">
        <v>700</v>
      </c>
      <c r="E11" s="36">
        <f t="shared" si="1"/>
        <v>-149.69000000000005</v>
      </c>
      <c r="F11" s="37"/>
    </row>
    <row r="12" spans="1:13" x14ac:dyDescent="0.25">
      <c r="A12" s="12">
        <f t="shared" si="0"/>
        <v>5</v>
      </c>
      <c r="B12" t="s">
        <v>10</v>
      </c>
      <c r="C12" s="36"/>
      <c r="D12" s="20">
        <v>1000</v>
      </c>
      <c r="E12" s="36">
        <f t="shared" si="1"/>
        <v>-1000</v>
      </c>
      <c r="F12" s="37"/>
    </row>
    <row r="13" spans="1:13" x14ac:dyDescent="0.25">
      <c r="A13" s="12">
        <f t="shared" si="0"/>
        <v>6</v>
      </c>
      <c r="B13" t="s">
        <v>27</v>
      </c>
      <c r="C13" s="36"/>
      <c r="D13" s="20"/>
      <c r="E13" s="36">
        <f t="shared" si="1"/>
        <v>0</v>
      </c>
      <c r="F13" s="37" t="s">
        <v>40</v>
      </c>
    </row>
    <row r="14" spans="1:13" ht="14.25" customHeight="1" x14ac:dyDescent="0.25">
      <c r="A14" s="12">
        <f t="shared" si="0"/>
        <v>7</v>
      </c>
      <c r="B14" t="s">
        <v>13</v>
      </c>
      <c r="C14" s="36"/>
      <c r="D14" s="20">
        <f>12*100</f>
        <v>1200</v>
      </c>
      <c r="E14" s="36">
        <f t="shared" si="1"/>
        <v>-1200</v>
      </c>
      <c r="F14" s="37"/>
    </row>
    <row r="15" spans="1:13" ht="14.25" customHeight="1" x14ac:dyDescent="0.25">
      <c r="A15" s="12">
        <f t="shared" si="0"/>
        <v>8</v>
      </c>
      <c r="B15" t="s">
        <v>136</v>
      </c>
      <c r="C15" s="36">
        <f>27.75+224.66+63.54+50+100</f>
        <v>465.95</v>
      </c>
      <c r="D15" s="20">
        <f>9*(25*40*0.2)</f>
        <v>1800</v>
      </c>
      <c r="E15" s="36">
        <f t="shared" si="1"/>
        <v>-1334.05</v>
      </c>
      <c r="F15" s="2" t="s">
        <v>137</v>
      </c>
    </row>
    <row r="16" spans="1:13" x14ac:dyDescent="0.25">
      <c r="A16" s="12">
        <f>+A15+1</f>
        <v>9</v>
      </c>
      <c r="B16" t="s">
        <v>9</v>
      </c>
      <c r="C16" s="36"/>
      <c r="D16" s="20"/>
      <c r="E16" s="36">
        <f t="shared" si="1"/>
        <v>0</v>
      </c>
      <c r="F16" s="37"/>
    </row>
    <row r="17" spans="1:8" x14ac:dyDescent="0.25">
      <c r="A17" s="12">
        <f t="shared" si="0"/>
        <v>10</v>
      </c>
      <c r="B17" t="s">
        <v>30</v>
      </c>
      <c r="C17" s="36"/>
      <c r="D17" s="20">
        <v>0</v>
      </c>
      <c r="E17" s="36">
        <f t="shared" si="1"/>
        <v>0</v>
      </c>
      <c r="F17" s="37" t="s">
        <v>42</v>
      </c>
    </row>
    <row r="18" spans="1:8" x14ac:dyDescent="0.25">
      <c r="C18" s="36"/>
      <c r="E18" s="36"/>
      <c r="F18" s="37"/>
    </row>
    <row r="19" spans="1:8" hidden="1" x14ac:dyDescent="0.25">
      <c r="A19" s="12">
        <f>+A17+1</f>
        <v>11</v>
      </c>
      <c r="B19" t="s">
        <v>29</v>
      </c>
      <c r="C19" s="36"/>
      <c r="D19" s="20"/>
      <c r="E19" s="36">
        <f t="shared" si="1"/>
        <v>0</v>
      </c>
      <c r="F19" s="37" t="s">
        <v>115</v>
      </c>
    </row>
    <row r="20" spans="1:8" hidden="1" x14ac:dyDescent="0.25">
      <c r="C20" s="36"/>
      <c r="E20" s="36"/>
      <c r="F20" s="37"/>
    </row>
    <row r="21" spans="1:8" x14ac:dyDescent="0.25">
      <c r="A21" s="12">
        <f>+A17+1</f>
        <v>11</v>
      </c>
      <c r="B21" t="s">
        <v>53</v>
      </c>
      <c r="C21" s="36">
        <f>1519+480+0.01</f>
        <v>1999.01</v>
      </c>
      <c r="D21" s="20">
        <f>70*35</f>
        <v>2450</v>
      </c>
      <c r="E21" s="36">
        <f t="shared" si="1"/>
        <v>-450.99</v>
      </c>
      <c r="F21" s="37" t="s">
        <v>122</v>
      </c>
    </row>
    <row r="22" spans="1:8" x14ac:dyDescent="0.25">
      <c r="A22" s="12">
        <f t="shared" ref="A22:A28" si="2">+A21+1</f>
        <v>12</v>
      </c>
      <c r="B22" t="s">
        <v>8</v>
      </c>
      <c r="C22" s="36">
        <f>2345.4+54.4</f>
        <v>2399.8000000000002</v>
      </c>
      <c r="D22" s="20">
        <v>1600</v>
      </c>
      <c r="E22" s="36">
        <f t="shared" si="1"/>
        <v>799.80000000000018</v>
      </c>
      <c r="F22" s="37" t="s">
        <v>116</v>
      </c>
    </row>
    <row r="23" spans="1:8" x14ac:dyDescent="0.25">
      <c r="A23" s="12">
        <f t="shared" si="2"/>
        <v>13</v>
      </c>
      <c r="B23" t="s">
        <v>14</v>
      </c>
      <c r="C23" s="36">
        <v>152</v>
      </c>
      <c r="D23" s="20">
        <f>50*8</f>
        <v>400</v>
      </c>
      <c r="E23" s="36">
        <f t="shared" si="1"/>
        <v>-248</v>
      </c>
      <c r="F23" s="37" t="s">
        <v>119</v>
      </c>
      <c r="H23" s="34"/>
    </row>
    <row r="24" spans="1:8" x14ac:dyDescent="0.25">
      <c r="A24" s="12">
        <f t="shared" si="2"/>
        <v>14</v>
      </c>
      <c r="B24" t="s">
        <v>54</v>
      </c>
      <c r="C24" s="36"/>
      <c r="D24" s="20">
        <v>0</v>
      </c>
      <c r="E24" s="36">
        <f t="shared" si="1"/>
        <v>0</v>
      </c>
      <c r="F24" s="37"/>
    </row>
    <row r="25" spans="1:8" x14ac:dyDescent="0.25">
      <c r="A25" s="12">
        <f t="shared" si="2"/>
        <v>15</v>
      </c>
      <c r="B25" t="s">
        <v>50</v>
      </c>
      <c r="C25" s="36"/>
      <c r="D25" s="20">
        <v>1250</v>
      </c>
      <c r="E25" s="36">
        <f t="shared" si="1"/>
        <v>-1250</v>
      </c>
      <c r="F25" s="47" t="s">
        <v>153</v>
      </c>
    </row>
    <row r="26" spans="1:8" x14ac:dyDescent="0.25">
      <c r="A26" s="12">
        <f t="shared" si="2"/>
        <v>16</v>
      </c>
      <c r="B26" t="s">
        <v>28</v>
      </c>
      <c r="D26" s="20">
        <v>600</v>
      </c>
      <c r="E26" s="36">
        <f t="shared" si="1"/>
        <v>-600</v>
      </c>
      <c r="F26" s="2" t="s">
        <v>55</v>
      </c>
    </row>
    <row r="27" spans="1:8" x14ac:dyDescent="0.25">
      <c r="A27" s="12">
        <f t="shared" si="2"/>
        <v>17</v>
      </c>
      <c r="B27" t="s">
        <v>120</v>
      </c>
      <c r="C27" s="6">
        <f>18555.77</f>
        <v>18555.77</v>
      </c>
      <c r="D27" s="20">
        <f>(150*40)+8000</f>
        <v>14000</v>
      </c>
      <c r="E27" s="36">
        <f t="shared" si="1"/>
        <v>4555.7700000000004</v>
      </c>
      <c r="F27" s="2" t="s">
        <v>125</v>
      </c>
    </row>
    <row r="28" spans="1:8" x14ac:dyDescent="0.25">
      <c r="A28" s="12">
        <f t="shared" si="2"/>
        <v>18</v>
      </c>
      <c r="B28" t="s">
        <v>117</v>
      </c>
      <c r="C28" s="6"/>
      <c r="D28" s="35">
        <f>(100*150)+2000</f>
        <v>17000</v>
      </c>
      <c r="E28" s="36">
        <f t="shared" si="1"/>
        <v>-17000</v>
      </c>
      <c r="F28" s="2" t="s">
        <v>135</v>
      </c>
    </row>
    <row r="29" spans="1:8" x14ac:dyDescent="0.25">
      <c r="D29" s="20"/>
    </row>
    <row r="30" spans="1:8" x14ac:dyDescent="0.25">
      <c r="A30" s="13">
        <f>+A28+1</f>
        <v>19</v>
      </c>
      <c r="B30" s="4" t="s">
        <v>12</v>
      </c>
      <c r="C30" s="5">
        <f>SUM(C8:C29)</f>
        <v>32783.22</v>
      </c>
      <c r="D30" s="5">
        <f>SUM(D8:D29)</f>
        <v>51730</v>
      </c>
      <c r="E30" s="5">
        <f t="shared" si="1"/>
        <v>-18946.78</v>
      </c>
    </row>
    <row r="31" spans="1:8" x14ac:dyDescent="0.25">
      <c r="D31" s="20"/>
    </row>
    <row r="32" spans="1:8" x14ac:dyDescent="0.25">
      <c r="A32" s="12">
        <f>+A30+1</f>
        <v>20</v>
      </c>
      <c r="B32" t="s">
        <v>36</v>
      </c>
      <c r="D32" s="20"/>
      <c r="E32" s="3">
        <f>C32-D32</f>
        <v>0</v>
      </c>
    </row>
    <row r="33" spans="1:12" x14ac:dyDescent="0.25">
      <c r="A33" s="12">
        <f t="shared" ref="A33:A38" si="3">+A32+1</f>
        <v>21</v>
      </c>
      <c r="B33" t="s">
        <v>4</v>
      </c>
      <c r="D33" s="20"/>
      <c r="E33" s="3">
        <f t="shared" ref="E33:E38" si="4">C33-D33</f>
        <v>0</v>
      </c>
    </row>
    <row r="34" spans="1:12" x14ac:dyDescent="0.25">
      <c r="A34" s="12">
        <f t="shared" si="3"/>
        <v>22</v>
      </c>
      <c r="B34" t="s">
        <v>64</v>
      </c>
      <c r="D34" s="20"/>
      <c r="E34" s="3">
        <f t="shared" si="4"/>
        <v>0</v>
      </c>
      <c r="F34" s="11"/>
    </row>
    <row r="35" spans="1:12" x14ac:dyDescent="0.25">
      <c r="A35" s="12">
        <f t="shared" si="3"/>
        <v>23</v>
      </c>
      <c r="B35" t="s">
        <v>23</v>
      </c>
      <c r="C35" s="3">
        <f>32.31+239.9+80.69+63</f>
        <v>415.90000000000003</v>
      </c>
      <c r="D35" s="20">
        <f>50*12</f>
        <v>600</v>
      </c>
      <c r="E35" s="3">
        <f t="shared" si="4"/>
        <v>-184.09999999999997</v>
      </c>
    </row>
    <row r="36" spans="1:12" x14ac:dyDescent="0.25">
      <c r="A36" s="12">
        <f t="shared" si="3"/>
        <v>24</v>
      </c>
      <c r="B36" t="s">
        <v>41</v>
      </c>
      <c r="C36" s="3">
        <f>3067+360.34</f>
        <v>3427.34</v>
      </c>
      <c r="D36" s="20">
        <v>3500</v>
      </c>
      <c r="E36" s="3">
        <f t="shared" si="4"/>
        <v>-72.659999999999854</v>
      </c>
      <c r="F36" s="2" t="s">
        <v>44</v>
      </c>
    </row>
    <row r="37" spans="1:12" x14ac:dyDescent="0.25">
      <c r="A37" s="12">
        <f t="shared" si="3"/>
        <v>25</v>
      </c>
      <c r="B37" t="s">
        <v>19</v>
      </c>
      <c r="D37" s="20">
        <f>17*250</f>
        <v>4250</v>
      </c>
      <c r="E37" s="3">
        <f t="shared" si="4"/>
        <v>-4250</v>
      </c>
      <c r="F37" s="2" t="s">
        <v>5</v>
      </c>
    </row>
    <row r="38" spans="1:12" x14ac:dyDescent="0.25">
      <c r="A38" s="12">
        <f t="shared" si="3"/>
        <v>26</v>
      </c>
      <c r="B38" t="s">
        <v>33</v>
      </c>
      <c r="D38" s="20">
        <v>300</v>
      </c>
      <c r="E38" s="3">
        <f t="shared" si="4"/>
        <v>-300</v>
      </c>
    </row>
    <row r="40" spans="1:12" x14ac:dyDescent="0.25">
      <c r="A40" s="12">
        <f>+A38+1</f>
        <v>27</v>
      </c>
      <c r="B40" t="s">
        <v>16</v>
      </c>
      <c r="C40" s="3">
        <f>45+412.92+412.93+640.73</f>
        <v>1511.58</v>
      </c>
      <c r="D40" s="20">
        <f>825+45+830</f>
        <v>1700</v>
      </c>
      <c r="E40" s="3">
        <f t="shared" ref="E40:E46" si="5">C40-D40</f>
        <v>-188.42000000000007</v>
      </c>
      <c r="F40" s="2" t="s">
        <v>126</v>
      </c>
      <c r="L40" s="42"/>
    </row>
    <row r="41" spans="1:12" hidden="1" x14ac:dyDescent="0.25">
      <c r="A41" s="12">
        <f>+A40+1</f>
        <v>28</v>
      </c>
      <c r="B41" t="s">
        <v>14</v>
      </c>
      <c r="D41" s="20"/>
      <c r="E41" s="3">
        <f t="shared" si="5"/>
        <v>0</v>
      </c>
      <c r="L41" s="42"/>
    </row>
    <row r="42" spans="1:12" x14ac:dyDescent="0.25">
      <c r="A42" s="12">
        <f>+A40+1</f>
        <v>28</v>
      </c>
      <c r="B42" t="s">
        <v>22</v>
      </c>
      <c r="C42" s="3">
        <f>190.11+244.59</f>
        <v>434.70000000000005</v>
      </c>
      <c r="D42" s="20"/>
      <c r="E42" s="3">
        <f t="shared" si="5"/>
        <v>434.70000000000005</v>
      </c>
      <c r="L42" s="42"/>
    </row>
    <row r="43" spans="1:12" x14ac:dyDescent="0.25">
      <c r="A43" s="12">
        <f>+A42+1</f>
        <v>29</v>
      </c>
      <c r="B43" t="s">
        <v>15</v>
      </c>
      <c r="D43" s="20">
        <v>700</v>
      </c>
      <c r="E43" s="3">
        <f t="shared" si="5"/>
        <v>-700</v>
      </c>
      <c r="L43" s="43"/>
    </row>
    <row r="44" spans="1:12" x14ac:dyDescent="0.25">
      <c r="A44" s="12">
        <f>+A43+1</f>
        <v>30</v>
      </c>
      <c r="B44" t="s">
        <v>28</v>
      </c>
      <c r="D44" s="20">
        <v>300</v>
      </c>
      <c r="E44" s="3">
        <f t="shared" si="5"/>
        <v>-300</v>
      </c>
      <c r="L44" s="44"/>
    </row>
    <row r="45" spans="1:12" x14ac:dyDescent="0.25">
      <c r="A45" s="12">
        <f>+A44+1</f>
        <v>31</v>
      </c>
      <c r="B45" t="s">
        <v>121</v>
      </c>
      <c r="C45" s="3">
        <v>6297.44</v>
      </c>
      <c r="D45" s="35">
        <f>5000+1200+500+450+500+500+400</f>
        <v>8550</v>
      </c>
      <c r="E45" s="3">
        <f t="shared" si="5"/>
        <v>-2252.5600000000004</v>
      </c>
      <c r="F45" s="2" t="s">
        <v>126</v>
      </c>
      <c r="J45" s="34"/>
      <c r="L45" s="42"/>
    </row>
    <row r="46" spans="1:12" x14ac:dyDescent="0.25">
      <c r="A46" s="12">
        <f>+A45+1</f>
        <v>32</v>
      </c>
      <c r="B46" t="s">
        <v>118</v>
      </c>
      <c r="D46" s="35">
        <f>(100*150)</f>
        <v>15000</v>
      </c>
      <c r="E46" s="3">
        <f t="shared" si="5"/>
        <v>-15000</v>
      </c>
      <c r="F46" s="2" t="s">
        <v>133</v>
      </c>
      <c r="L46" s="42"/>
    </row>
    <row r="47" spans="1:12" x14ac:dyDescent="0.25">
      <c r="D47" s="35"/>
      <c r="L47" s="43"/>
    </row>
    <row r="48" spans="1:12" hidden="1" x14ac:dyDescent="0.25">
      <c r="A48" s="12">
        <f>+A46+1</f>
        <v>33</v>
      </c>
      <c r="B48" t="s">
        <v>32</v>
      </c>
      <c r="D48" s="20"/>
      <c r="E48" s="3">
        <f t="shared" ref="E48:E61" si="6">C48-D48</f>
        <v>0</v>
      </c>
    </row>
    <row r="49" spans="1:8" hidden="1" x14ac:dyDescent="0.25">
      <c r="A49" s="12">
        <f t="shared" ref="A49:A54" si="7">+A48+1</f>
        <v>34</v>
      </c>
      <c r="B49" t="s">
        <v>35</v>
      </c>
      <c r="D49" s="20"/>
      <c r="E49" s="3">
        <f t="shared" si="6"/>
        <v>0</v>
      </c>
    </row>
    <row r="50" spans="1:8" hidden="1" x14ac:dyDescent="0.25">
      <c r="A50" s="12">
        <f t="shared" si="7"/>
        <v>35</v>
      </c>
      <c r="B50" t="s">
        <v>24</v>
      </c>
      <c r="D50" s="20"/>
      <c r="E50" s="3">
        <f t="shared" si="6"/>
        <v>0</v>
      </c>
    </row>
    <row r="51" spans="1:8" hidden="1" x14ac:dyDescent="0.25">
      <c r="A51" s="12">
        <f t="shared" si="7"/>
        <v>36</v>
      </c>
      <c r="B51" t="s">
        <v>17</v>
      </c>
      <c r="D51" s="20"/>
      <c r="E51" s="3">
        <f t="shared" si="6"/>
        <v>0</v>
      </c>
    </row>
    <row r="52" spans="1:8" hidden="1" x14ac:dyDescent="0.25">
      <c r="A52" s="12">
        <f t="shared" si="7"/>
        <v>37</v>
      </c>
      <c r="B52" t="s">
        <v>31</v>
      </c>
      <c r="D52" s="20"/>
      <c r="E52" s="3">
        <f t="shared" si="6"/>
        <v>0</v>
      </c>
    </row>
    <row r="53" spans="1:8" hidden="1" x14ac:dyDescent="0.25">
      <c r="A53" s="12">
        <f t="shared" si="7"/>
        <v>38</v>
      </c>
      <c r="B53" t="s">
        <v>34</v>
      </c>
      <c r="D53" s="20"/>
      <c r="E53" s="3">
        <f t="shared" si="6"/>
        <v>0</v>
      </c>
    </row>
    <row r="54" spans="1:8" hidden="1" x14ac:dyDescent="0.25">
      <c r="A54" s="12">
        <f t="shared" si="7"/>
        <v>39</v>
      </c>
      <c r="B54" t="s">
        <v>18</v>
      </c>
      <c r="D54" s="20"/>
      <c r="E54" s="3">
        <f t="shared" si="6"/>
        <v>0</v>
      </c>
    </row>
    <row r="55" spans="1:8" x14ac:dyDescent="0.25">
      <c r="A55" s="12">
        <f>+A46+1</f>
        <v>33</v>
      </c>
      <c r="B55" t="s">
        <v>25</v>
      </c>
      <c r="D55" s="20"/>
      <c r="E55" s="3">
        <f t="shared" si="6"/>
        <v>0</v>
      </c>
    </row>
    <row r="56" spans="1:8" hidden="1" x14ac:dyDescent="0.25">
      <c r="A56" s="12">
        <f>+A55+1</f>
        <v>34</v>
      </c>
      <c r="B56" t="s">
        <v>63</v>
      </c>
      <c r="D56" s="20"/>
      <c r="E56" s="3">
        <f t="shared" si="6"/>
        <v>0</v>
      </c>
    </row>
    <row r="57" spans="1:8" hidden="1" x14ac:dyDescent="0.25">
      <c r="A57" s="12">
        <f>+A56+1</f>
        <v>35</v>
      </c>
      <c r="B57" t="s">
        <v>110</v>
      </c>
      <c r="D57" s="20"/>
      <c r="E57" s="3">
        <f t="shared" si="6"/>
        <v>0</v>
      </c>
    </row>
    <row r="58" spans="1:8" hidden="1" x14ac:dyDescent="0.25">
      <c r="A58" s="12">
        <f>+A57+1</f>
        <v>36</v>
      </c>
      <c r="B58" t="s">
        <v>111</v>
      </c>
      <c r="D58" s="20"/>
      <c r="E58" s="3">
        <f t="shared" si="6"/>
        <v>0</v>
      </c>
    </row>
    <row r="59" spans="1:8" x14ac:dyDescent="0.25">
      <c r="A59" s="12">
        <f>+A55+1</f>
        <v>34</v>
      </c>
      <c r="B59" t="s">
        <v>112</v>
      </c>
      <c r="C59" s="3">
        <f>620</f>
        <v>620</v>
      </c>
      <c r="D59" s="20"/>
      <c r="E59" s="3">
        <f t="shared" si="6"/>
        <v>620</v>
      </c>
    </row>
    <row r="60" spans="1:8" x14ac:dyDescent="0.25">
      <c r="A60" s="12">
        <f>+A59+1</f>
        <v>35</v>
      </c>
      <c r="B60" t="s">
        <v>127</v>
      </c>
      <c r="D60" s="20">
        <v>2730</v>
      </c>
      <c r="E60" s="3">
        <f t="shared" si="6"/>
        <v>-2730</v>
      </c>
    </row>
    <row r="61" spans="1:8" x14ac:dyDescent="0.25">
      <c r="A61" s="12">
        <f>+A60+1</f>
        <v>36</v>
      </c>
      <c r="B61" t="s">
        <v>140</v>
      </c>
      <c r="C61" s="3">
        <v>699</v>
      </c>
      <c r="D61" s="20"/>
      <c r="E61" s="3">
        <f t="shared" si="6"/>
        <v>699</v>
      </c>
    </row>
    <row r="62" spans="1:8" x14ac:dyDescent="0.25">
      <c r="D62" s="20"/>
    </row>
    <row r="63" spans="1:8" x14ac:dyDescent="0.25">
      <c r="A63" s="13">
        <f>+A61+1</f>
        <v>37</v>
      </c>
      <c r="B63" s="4" t="s">
        <v>20</v>
      </c>
      <c r="C63" s="5">
        <f>SUM(C32:C62)</f>
        <v>13405.96</v>
      </c>
      <c r="D63" s="5">
        <f>SUM(D32:D62)</f>
        <v>37630</v>
      </c>
      <c r="E63" s="5">
        <f>SUM(E32:E62)</f>
        <v>-24224.04</v>
      </c>
    </row>
    <row r="64" spans="1:8" ht="15.75" thickBot="1" x14ac:dyDescent="0.3">
      <c r="A64" s="14">
        <f>+A63+1</f>
        <v>38</v>
      </c>
      <c r="B64" s="9" t="s">
        <v>21</v>
      </c>
      <c r="C64" s="10">
        <f>+C30-C63</f>
        <v>19377.260000000002</v>
      </c>
      <c r="D64" s="10">
        <f>+D30-D63</f>
        <v>14100</v>
      </c>
      <c r="E64" s="10">
        <f>+E30-E63</f>
        <v>5277.260000000002</v>
      </c>
      <c r="H64" s="34"/>
    </row>
    <row r="65" spans="1:14" ht="15.75" thickTop="1" x14ac:dyDescent="0.25"/>
    <row r="66" spans="1:14" x14ac:dyDescent="0.25">
      <c r="E66" s="3" t="s">
        <v>138</v>
      </c>
      <c r="N66" s="46"/>
    </row>
    <row r="67" spans="1:14" x14ac:dyDescent="0.25">
      <c r="A67" s="25" t="s">
        <v>130</v>
      </c>
      <c r="E67" s="3" t="s">
        <v>143</v>
      </c>
      <c r="F67" s="2">
        <f>57.71</f>
        <v>57.71</v>
      </c>
      <c r="N67" s="46"/>
    </row>
    <row r="68" spans="1:14" x14ac:dyDescent="0.25">
      <c r="B68" s="40" t="s">
        <v>131</v>
      </c>
      <c r="C68" s="3">
        <v>21558.59</v>
      </c>
      <c r="E68" s="3" t="s">
        <v>150</v>
      </c>
      <c r="F68" s="2">
        <v>38.15</v>
      </c>
      <c r="N68" s="46"/>
    </row>
    <row r="69" spans="1:14" x14ac:dyDescent="0.25">
      <c r="B69" t="s">
        <v>132</v>
      </c>
      <c r="C69" s="3">
        <v>45050.68</v>
      </c>
      <c r="E69" s="3" t="s">
        <v>154</v>
      </c>
      <c r="F69" s="2">
        <v>239.43</v>
      </c>
    </row>
    <row r="70" spans="1:14" x14ac:dyDescent="0.25">
      <c r="E70" s="3" t="s">
        <v>142</v>
      </c>
      <c r="F70" s="2">
        <f>241.38</f>
        <v>241.38</v>
      </c>
    </row>
    <row r="71" spans="1:14" x14ac:dyDescent="0.25">
      <c r="E71" s="3" t="s">
        <v>151</v>
      </c>
      <c r="F71" s="2">
        <v>875</v>
      </c>
    </row>
    <row r="72" spans="1:14" x14ac:dyDescent="0.25">
      <c r="B72" t="s">
        <v>136</v>
      </c>
      <c r="E72" s="3" t="s">
        <v>144</v>
      </c>
      <c r="F72" s="2">
        <f>250</f>
        <v>250</v>
      </c>
    </row>
    <row r="73" spans="1:14" x14ac:dyDescent="0.25">
      <c r="B73" t="s">
        <v>139</v>
      </c>
      <c r="C73" s="3">
        <v>167.2</v>
      </c>
      <c r="E73" s="3" t="s">
        <v>145</v>
      </c>
      <c r="F73" s="2">
        <f>14.29+21.17+35.75+51.27</f>
        <v>122.48000000000002</v>
      </c>
    </row>
    <row r="74" spans="1:14" x14ac:dyDescent="0.25">
      <c r="B74" t="s">
        <v>155</v>
      </c>
      <c r="C74" s="3">
        <v>66.81</v>
      </c>
      <c r="E74" s="3" t="s">
        <v>141</v>
      </c>
      <c r="F74" s="2">
        <f>110.31</f>
        <v>110.31</v>
      </c>
    </row>
    <row r="75" spans="1:14" x14ac:dyDescent="0.25">
      <c r="E75" s="3" t="s">
        <v>147</v>
      </c>
      <c r="F75" s="2">
        <f>214.28</f>
        <v>214.28</v>
      </c>
    </row>
    <row r="76" spans="1:14" x14ac:dyDescent="0.25">
      <c r="E76" s="3" t="s">
        <v>146</v>
      </c>
      <c r="F76" s="2">
        <f>41.3+108.7+93.82</f>
        <v>243.82</v>
      </c>
    </row>
    <row r="77" spans="1:14" x14ac:dyDescent="0.25">
      <c r="E77" s="3" t="s">
        <v>156</v>
      </c>
      <c r="F77" s="2">
        <v>138.72999999999999</v>
      </c>
    </row>
    <row r="78" spans="1:14" x14ac:dyDescent="0.25">
      <c r="E78" s="3" t="s">
        <v>148</v>
      </c>
      <c r="F78" s="2">
        <f>2338+375</f>
        <v>2713</v>
      </c>
      <c r="G78" t="s">
        <v>149</v>
      </c>
    </row>
    <row r="79" spans="1:14" x14ac:dyDescent="0.25">
      <c r="F79" s="45">
        <f>SUM(F67:F78)</f>
        <v>5244.2900000000009</v>
      </c>
    </row>
  </sheetData>
  <pageMargins left="0.45" right="0.45" top="0.5" bottom="0.2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Actual to Budget</vt:lpstr>
      <vt:lpstr>'Actual to Budget'!Print_Area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Rostand</dc:creator>
  <cp:lastModifiedBy>1st Grade</cp:lastModifiedBy>
  <cp:lastPrinted>2023-03-09T02:08:05Z</cp:lastPrinted>
  <dcterms:created xsi:type="dcterms:W3CDTF">2021-09-21T14:55:01Z</dcterms:created>
  <dcterms:modified xsi:type="dcterms:W3CDTF">2023-03-13T18:58:17Z</dcterms:modified>
</cp:coreProperties>
</file>